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86\Desktop\"/>
    </mc:Choice>
  </mc:AlternateContent>
  <xr:revisionPtr revIDLastSave="0" documentId="13_ncr:1_{36A209B2-7244-4A9D-9121-65ADF2D5312B}" xr6:coauthVersionLast="47" xr6:coauthVersionMax="47" xr10:uidLastSave="{00000000-0000-0000-0000-000000000000}"/>
  <bookViews>
    <workbookView xWindow="-120" yWindow="-120" windowWidth="19440" windowHeight="14880" xr2:uid="{BFE2D101-45C5-485D-B1C6-4457D9027DE7}"/>
  </bookViews>
  <sheets>
    <sheet name="1年目(R8)" sheetId="1" r:id="rId1"/>
  </sheets>
  <definedNames>
    <definedName name="_xlnm.Print_Area" localSheetId="0">'1年目(R8)'!$A$1:$AD$24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4" i="1" l="1"/>
  <c r="BE22" i="1"/>
  <c r="BA24" i="1" s="1"/>
  <c r="K8" i="1"/>
  <c r="M12" i="1" s="1"/>
  <c r="N13" i="1" l="1"/>
  <c r="K11" i="1" s="1"/>
  <c r="BE23" i="1"/>
  <c r="BA23" i="1" s="1"/>
  <c r="BA25" i="1" s="1"/>
  <c r="Q8" i="1"/>
  <c r="P11" i="1"/>
  <c r="P16" i="1" s="1"/>
  <c r="K18" i="1" l="1"/>
  <c r="P17" i="1"/>
  <c r="U11" i="1"/>
  <c r="K16" i="1"/>
  <c r="U16" i="1" s="1"/>
  <c r="K19" i="1"/>
  <c r="P19" i="1"/>
  <c r="K17" i="1"/>
  <c r="P18" i="1"/>
  <c r="U18" i="1" s="1"/>
  <c r="U17" i="1" l="1"/>
  <c r="U19" i="1"/>
  <c r="AA18" i="1" s="1"/>
  <c r="AI18" i="1" s="1"/>
  <c r="AI17" i="1"/>
</calcChain>
</file>

<file path=xl/sharedStrings.xml><?xml version="1.0" encoding="utf-8"?>
<sst xmlns="http://schemas.openxmlformats.org/spreadsheetml/2006/main" count="82" uniqueCount="46">
  <si>
    <t>令和8年3月31日～令和9年3月30日退職者用（任継1年目用）</t>
    <rPh sb="0" eb="2">
      <t>レイワ</t>
    </rPh>
    <rPh sb="3" eb="4">
      <t>ネン</t>
    </rPh>
    <rPh sb="5" eb="6">
      <t>ツキ</t>
    </rPh>
    <rPh sb="8" eb="9">
      <t>ニチ</t>
    </rPh>
    <rPh sb="10" eb="12">
      <t>レイワ</t>
    </rPh>
    <rPh sb="13" eb="14">
      <t>ネン</t>
    </rPh>
    <rPh sb="15" eb="16">
      <t>ツキ</t>
    </rPh>
    <rPh sb="18" eb="19">
      <t>ニチ</t>
    </rPh>
    <rPh sb="19" eb="21">
      <t>タイショク</t>
    </rPh>
    <rPh sb="21" eb="22">
      <t>シャ</t>
    </rPh>
    <rPh sb="22" eb="23">
      <t>ヨウ</t>
    </rPh>
    <rPh sb="24" eb="26">
      <t>ニンケイ</t>
    </rPh>
    <rPh sb="27" eb="29">
      <t>ネンメ</t>
    </rPh>
    <rPh sb="29" eb="30">
      <t>ヨウ</t>
    </rPh>
    <phoneticPr fontId="3"/>
  </si>
  <si>
    <t>任意継続掛金の試算表</t>
    <rPh sb="0" eb="2">
      <t>ニンイ</t>
    </rPh>
    <rPh sb="2" eb="4">
      <t>ケイゾク</t>
    </rPh>
    <rPh sb="4" eb="6">
      <t>カケキン</t>
    </rPh>
    <rPh sb="7" eb="10">
      <t>シサンヒョウ</t>
    </rPh>
    <phoneticPr fontId="3"/>
  </si>
  <si>
    <t>前納率</t>
    <rPh sb="0" eb="2">
      <t>ゼンノウ</t>
    </rPh>
    <rPh sb="2" eb="3">
      <t>リツ</t>
    </rPh>
    <phoneticPr fontId="3"/>
  </si>
  <si>
    <t>退職時の年齢</t>
    <rPh sb="0" eb="2">
      <t>タイショク</t>
    </rPh>
    <rPh sb="2" eb="3">
      <t>ジ</t>
    </rPh>
    <rPh sb="4" eb="6">
      <t>ネンレイ</t>
    </rPh>
    <phoneticPr fontId="3"/>
  </si>
  <si>
    <t>歳</t>
    <rPh sb="0" eb="1">
      <t>サイ</t>
    </rPh>
    <phoneticPr fontId="3"/>
  </si>
  <si>
    <t>退職時の標準報酬月額</t>
    <rPh sb="0" eb="2">
      <t>タイショク</t>
    </rPh>
    <rPh sb="2" eb="3">
      <t>ジ</t>
    </rPh>
    <rPh sb="4" eb="10">
      <t>ヒョウジュンホウシュウゲツガク</t>
    </rPh>
    <phoneticPr fontId="3"/>
  </si>
  <si>
    <t>円</t>
    <rPh sb="0" eb="1">
      <t>エン</t>
    </rPh>
    <phoneticPr fontId="3"/>
  </si>
  <si>
    <t>退職日</t>
    <rPh sb="0" eb="2">
      <t>タイショク</t>
    </rPh>
    <rPh sb="2" eb="3">
      <t>ビ</t>
    </rPh>
    <phoneticPr fontId="3"/>
  </si>
  <si>
    <t>掛金基礎標準報酬月額</t>
    <rPh sb="0" eb="2">
      <t>カケキン</t>
    </rPh>
    <rPh sb="2" eb="4">
      <t>キソ</t>
    </rPh>
    <rPh sb="4" eb="6">
      <t>ヒョウジュン</t>
    </rPh>
    <rPh sb="6" eb="8">
      <t>ホウシュウ</t>
    </rPh>
    <rPh sb="8" eb="10">
      <t>ゲツガク</t>
    </rPh>
    <phoneticPr fontId="3"/>
  </si>
  <si>
    <t>（上限額：380,000円）</t>
    <rPh sb="1" eb="3">
      <t>ジョウゲン</t>
    </rPh>
    <rPh sb="3" eb="4">
      <t>ガク</t>
    </rPh>
    <rPh sb="12" eb="13">
      <t>エン</t>
    </rPh>
    <phoneticPr fontId="3"/>
  </si>
  <si>
    <t>短　期</t>
    <rPh sb="0" eb="1">
      <t>タン</t>
    </rPh>
    <rPh sb="2" eb="3">
      <t>キ</t>
    </rPh>
    <phoneticPr fontId="3"/>
  </si>
  <si>
    <t>介　護</t>
    <rPh sb="0" eb="1">
      <t>スケ</t>
    </rPh>
    <rPh sb="2" eb="3">
      <t>マモル</t>
    </rPh>
    <phoneticPr fontId="3"/>
  </si>
  <si>
    <t>合　計</t>
    <rPh sb="0" eb="1">
      <t>ゴウ</t>
    </rPh>
    <rPh sb="2" eb="3">
      <t>ケイ</t>
    </rPh>
    <phoneticPr fontId="3"/>
  </si>
  <si>
    <t>１か月当たりの金額</t>
    <rPh sb="2" eb="3">
      <t>ツキ</t>
    </rPh>
    <rPh sb="3" eb="4">
      <t>ア</t>
    </rPh>
    <rPh sb="7" eb="9">
      <t>キンガク</t>
    </rPh>
    <phoneticPr fontId="3"/>
  </si>
  <si>
    <t>（</t>
    <phoneticPr fontId="3"/>
  </si>
  <si>
    <t>短期</t>
    <rPh sb="0" eb="2">
      <t>タンキ</t>
    </rPh>
    <phoneticPr fontId="3"/>
  </si>
  <si>
    <t>短期分</t>
    <rPh sb="0" eb="2">
      <t>タンキ</t>
    </rPh>
    <rPh sb="2" eb="3">
      <t>ブン</t>
    </rPh>
    <phoneticPr fontId="3"/>
  </si>
  <si>
    <t>）</t>
    <phoneticPr fontId="3"/>
  </si>
  <si>
    <t>内訳</t>
    <rPh sb="0" eb="2">
      <t>ウチワケ</t>
    </rPh>
    <phoneticPr fontId="3"/>
  </si>
  <si>
    <t>　  子支援分</t>
    <rPh sb="3" eb="4">
      <t>コ</t>
    </rPh>
    <rPh sb="4" eb="6">
      <t>シエン</t>
    </rPh>
    <rPh sb="6" eb="7">
      <t>ブン</t>
    </rPh>
    <phoneticPr fontId="3"/>
  </si>
  <si>
    <t>納付方法</t>
    <rPh sb="0" eb="2">
      <t>ノウフ</t>
    </rPh>
    <rPh sb="2" eb="4">
      <t>ホウホウ</t>
    </rPh>
    <phoneticPr fontId="3"/>
  </si>
  <si>
    <t>●</t>
    <phoneticPr fontId="3"/>
  </si>
  <si>
    <t>毎月払い</t>
    <rPh sb="0" eb="2">
      <t>マイツキ</t>
    </rPh>
    <rPh sb="2" eb="3">
      <t>ハラ</t>
    </rPh>
    <phoneticPr fontId="3"/>
  </si>
  <si>
    <t>１年払い</t>
    <rPh sb="1" eb="2">
      <t>ネン</t>
    </rPh>
    <rPh sb="2" eb="3">
      <t>ハラ</t>
    </rPh>
    <phoneticPr fontId="3"/>
  </si>
  <si>
    <t>（4～3月）</t>
    <phoneticPr fontId="3"/>
  </si>
  <si>
    <t>※</t>
    <phoneticPr fontId="3"/>
  </si>
  <si>
    <t>毎月払いより</t>
    <rPh sb="0" eb="2">
      <t>マイツキ</t>
    </rPh>
    <rPh sb="2" eb="3">
      <t>バラ</t>
    </rPh>
    <phoneticPr fontId="3"/>
  </si>
  <si>
    <t>円安くなります。</t>
    <rPh sb="0" eb="1">
      <t>エン</t>
    </rPh>
    <rPh sb="1" eb="2">
      <t>ヤス</t>
    </rPh>
    <phoneticPr fontId="3"/>
  </si>
  <si>
    <t>半年払い</t>
    <rPh sb="0" eb="2">
      <t>ハントシ</t>
    </rPh>
    <rPh sb="2" eb="3">
      <t>ハラ</t>
    </rPh>
    <phoneticPr fontId="3"/>
  </si>
  <si>
    <t>前期（ 4～9月）</t>
    <rPh sb="0" eb="2">
      <t>ゼンキ</t>
    </rPh>
    <rPh sb="7" eb="8">
      <t>ガツ</t>
    </rPh>
    <phoneticPr fontId="3"/>
  </si>
  <si>
    <t>後期（10～3月）</t>
    <rPh sb="0" eb="2">
      <t>コウキ</t>
    </rPh>
    <phoneticPr fontId="3"/>
  </si>
  <si>
    <t>平均標準報酬月額</t>
    <rPh sb="0" eb="2">
      <t>ヘイキン</t>
    </rPh>
    <rPh sb="6" eb="8">
      <t>ゲツガク</t>
    </rPh>
    <phoneticPr fontId="3"/>
  </si>
  <si>
    <t>短期掛金率</t>
    <rPh sb="0" eb="2">
      <t>タンキ</t>
    </rPh>
    <rPh sb="2" eb="4">
      <t>カケキン</t>
    </rPh>
    <rPh sb="4" eb="5">
      <t>リツ</t>
    </rPh>
    <phoneticPr fontId="3"/>
  </si>
  <si>
    <t>‰</t>
    <phoneticPr fontId="3"/>
  </si>
  <si>
    <t>子ども支援掛金率</t>
    <rPh sb="0" eb="1">
      <t>コ</t>
    </rPh>
    <rPh sb="3" eb="5">
      <t>シエン</t>
    </rPh>
    <rPh sb="5" eb="7">
      <t>カケキン</t>
    </rPh>
    <rPh sb="7" eb="8">
      <t>リツ</t>
    </rPh>
    <phoneticPr fontId="3"/>
  </si>
  <si>
    <t>介護掛金は、40歳以上65歳未満の組合員について、徴収します。</t>
    <rPh sb="0" eb="2">
      <t>カイゴ</t>
    </rPh>
    <rPh sb="2" eb="4">
      <t>カケキン</t>
    </rPh>
    <rPh sb="8" eb="11">
      <t>サイイジョウ</t>
    </rPh>
    <rPh sb="13" eb="14">
      <t>サイ</t>
    </rPh>
    <rPh sb="14" eb="16">
      <t>ミマン</t>
    </rPh>
    <rPh sb="17" eb="20">
      <t>クミアイイン</t>
    </rPh>
    <rPh sb="25" eb="27">
      <t>チョウシュウ</t>
    </rPh>
    <phoneticPr fontId="3"/>
  </si>
  <si>
    <t>介護掛金率</t>
    <rPh sb="0" eb="2">
      <t>カイゴ</t>
    </rPh>
    <rPh sb="2" eb="4">
      <t>カケキン</t>
    </rPh>
    <rPh sb="4" eb="5">
      <t>リツ</t>
    </rPh>
    <phoneticPr fontId="3"/>
  </si>
  <si>
    <t>75歳以上の組合員は、後期高齢者医療制度へ加入となるため、任意継続制度に加入することができません。</t>
    <rPh sb="2" eb="5">
      <t>サイイジョウ</t>
    </rPh>
    <rPh sb="6" eb="9">
      <t>クミアイイン</t>
    </rPh>
    <rPh sb="11" eb="13">
      <t>コウキ</t>
    </rPh>
    <rPh sb="13" eb="16">
      <t>コウレイシャ</t>
    </rPh>
    <rPh sb="16" eb="18">
      <t>イリョウ</t>
    </rPh>
    <rPh sb="18" eb="20">
      <t>セイド</t>
    </rPh>
    <rPh sb="21" eb="23">
      <t>カニュウ</t>
    </rPh>
    <rPh sb="29" eb="31">
      <t>ニンイ</t>
    </rPh>
    <rPh sb="31" eb="33">
      <t>ケイゾク</t>
    </rPh>
    <rPh sb="33" eb="35">
      <t>セイド</t>
    </rPh>
    <rPh sb="36" eb="38">
      <t>カニュウ</t>
    </rPh>
    <phoneticPr fontId="3"/>
  </si>
  <si>
    <t>年度末日</t>
    <rPh sb="0" eb="2">
      <t>ネンド</t>
    </rPh>
    <rPh sb="2" eb="3">
      <t>マツ</t>
    </rPh>
    <rPh sb="3" eb="4">
      <t>ジツ</t>
    </rPh>
    <phoneticPr fontId="3"/>
  </si>
  <si>
    <t>1年払い、半年払いは前納割引制度（資格取得月の翌月分から割引）適用後の金額となります。</t>
    <rPh sb="1" eb="2">
      <t>ネン</t>
    </rPh>
    <rPh sb="2" eb="3">
      <t>ハラ</t>
    </rPh>
    <rPh sb="5" eb="7">
      <t>ハントシ</t>
    </rPh>
    <rPh sb="7" eb="8">
      <t>バラ</t>
    </rPh>
    <rPh sb="10" eb="12">
      <t>ゼンノウ</t>
    </rPh>
    <rPh sb="12" eb="14">
      <t>ワリビキ</t>
    </rPh>
    <rPh sb="14" eb="16">
      <t>セイド</t>
    </rPh>
    <rPh sb="17" eb="19">
      <t>シカク</t>
    </rPh>
    <rPh sb="19" eb="21">
      <t>シュトク</t>
    </rPh>
    <rPh sb="21" eb="22">
      <t>ツキ</t>
    </rPh>
    <rPh sb="23" eb="26">
      <t>ヨクゲツブン</t>
    </rPh>
    <rPh sb="28" eb="30">
      <t>ワリビキ</t>
    </rPh>
    <rPh sb="31" eb="33">
      <t>テキヨウ</t>
    </rPh>
    <rPh sb="33" eb="34">
      <t>ゴ</t>
    </rPh>
    <rPh sb="35" eb="37">
      <t>キンガク</t>
    </rPh>
    <phoneticPr fontId="3"/>
  </si>
  <si>
    <t>１年払い前納期間</t>
    <rPh sb="1" eb="2">
      <t>ネン</t>
    </rPh>
    <rPh sb="2" eb="3">
      <t>バラ</t>
    </rPh>
    <rPh sb="4" eb="6">
      <t>ゼンノウ</t>
    </rPh>
    <rPh sb="6" eb="8">
      <t>キカン</t>
    </rPh>
    <phoneticPr fontId="3"/>
  </si>
  <si>
    <t>月</t>
    <rPh sb="0" eb="1">
      <t>ツキ</t>
    </rPh>
    <phoneticPr fontId="3"/>
  </si>
  <si>
    <t>初回の納付は退職日から起算して20日以内となります。</t>
    <rPh sb="0" eb="2">
      <t>ショカイ</t>
    </rPh>
    <rPh sb="3" eb="5">
      <t>ノウフ</t>
    </rPh>
    <rPh sb="6" eb="8">
      <t>タイショク</t>
    </rPh>
    <rPh sb="8" eb="9">
      <t>ビ</t>
    </rPh>
    <rPh sb="11" eb="13">
      <t>キサン</t>
    </rPh>
    <rPh sb="17" eb="18">
      <t>ニチ</t>
    </rPh>
    <rPh sb="18" eb="20">
      <t>イナイ</t>
    </rPh>
    <phoneticPr fontId="3"/>
  </si>
  <si>
    <t>半年払い前納期間(前)</t>
    <rPh sb="0" eb="1">
      <t>ハン</t>
    </rPh>
    <rPh sb="1" eb="2">
      <t>ネン</t>
    </rPh>
    <rPh sb="2" eb="3">
      <t>バラ</t>
    </rPh>
    <rPh sb="4" eb="6">
      <t>ゼンノウ</t>
    </rPh>
    <rPh sb="6" eb="8">
      <t>キカン</t>
    </rPh>
    <rPh sb="9" eb="10">
      <t>ゼン</t>
    </rPh>
    <phoneticPr fontId="3"/>
  </si>
  <si>
    <t>選択された納付方法は、２年目更新時の保険料支払いにも適用されます。</t>
    <rPh sb="0" eb="2">
      <t>センタク</t>
    </rPh>
    <rPh sb="5" eb="7">
      <t>ノウフ</t>
    </rPh>
    <rPh sb="7" eb="9">
      <t>ホウホウ</t>
    </rPh>
    <rPh sb="12" eb="14">
      <t>ネンメ</t>
    </rPh>
    <rPh sb="14" eb="16">
      <t>コウシン</t>
    </rPh>
    <rPh sb="16" eb="17">
      <t>ジ</t>
    </rPh>
    <rPh sb="18" eb="21">
      <t>ホケンリョウ</t>
    </rPh>
    <rPh sb="21" eb="23">
      <t>シハラ</t>
    </rPh>
    <rPh sb="26" eb="28">
      <t>テキヨウ</t>
    </rPh>
    <phoneticPr fontId="3"/>
  </si>
  <si>
    <t>半年払い前納期間(後)</t>
    <rPh sb="0" eb="1">
      <t>ハン</t>
    </rPh>
    <rPh sb="1" eb="2">
      <t>ネン</t>
    </rPh>
    <rPh sb="2" eb="3">
      <t>バラ</t>
    </rPh>
    <rPh sb="4" eb="6">
      <t>ゼンノウ</t>
    </rPh>
    <rPh sb="6" eb="8">
      <t>キカン</t>
    </rPh>
    <rPh sb="9" eb="10">
      <t>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</si>
</sst>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;[Red]\-#,##0\ "/>
    <numFmt numFmtId="178" formatCode="#,###"/>
    <numFmt numFmtId="179" formatCode="#,###&quot;円&quot;"/>
    <numFmt numFmtId="180" formatCode="0.00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b/>
      <sz val="36"/>
      <color theme="1"/>
      <name val="HGS明朝B"/>
      <family val="1"/>
      <charset val="128"/>
    </font>
    <font>
      <u/>
      <sz val="18"/>
      <color theme="1"/>
      <name val="HGS明朝B"/>
      <family val="1"/>
      <charset val="128"/>
    </font>
    <font>
      <b/>
      <sz val="22"/>
      <color rgb="FF002060"/>
      <name val="HGS明朝B"/>
      <family val="1"/>
      <charset val="128"/>
    </font>
    <font>
      <sz val="12"/>
      <color theme="1"/>
      <name val="HGS明朝B"/>
      <family val="1"/>
      <charset val="128"/>
    </font>
    <font>
      <b/>
      <sz val="12"/>
      <color rgb="FF002060"/>
      <name val="HGS明朝B"/>
      <family val="1"/>
      <charset val="128"/>
    </font>
    <font>
      <b/>
      <sz val="20"/>
      <color theme="1"/>
      <name val="HGS明朝B"/>
      <family val="1"/>
      <charset val="128"/>
    </font>
    <font>
      <b/>
      <sz val="18"/>
      <color rgb="FFFF0000"/>
      <name val="HGS明朝B"/>
      <family val="1"/>
      <charset val="128"/>
    </font>
    <font>
      <sz val="14"/>
      <color theme="1"/>
      <name val="HGS明朝B"/>
      <family val="1"/>
      <charset val="128"/>
    </font>
    <font>
      <sz val="20"/>
      <color theme="1"/>
      <name val="HGS明朝B"/>
      <family val="1"/>
      <charset val="128"/>
    </font>
    <font>
      <sz val="11"/>
      <color theme="1"/>
      <name val="HGS明朝B"/>
      <family val="1"/>
      <charset val="128"/>
    </font>
    <font>
      <sz val="16"/>
      <color theme="1"/>
      <name val="HGS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176" fontId="6" fillId="0" borderId="1" xfId="0" applyNumberFormat="1" applyFont="1" applyBorder="1" applyAlignment="1" applyProtection="1">
      <alignment horizontal="right" vertical="center"/>
      <protection locked="0"/>
    </xf>
    <xf numFmtId="176" fontId="6" fillId="0" borderId="2" xfId="0" applyNumberFormat="1" applyFont="1" applyBorder="1" applyAlignment="1" applyProtection="1">
      <alignment horizontal="right"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  <protection locked="0"/>
    </xf>
    <xf numFmtId="0" fontId="7" fillId="2" borderId="0" xfId="0" applyFont="1" applyFill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 applyProtection="1">
      <alignment horizontal="right" vertical="center"/>
      <protection locked="0"/>
    </xf>
    <xf numFmtId="177" fontId="6" fillId="0" borderId="2" xfId="1" applyNumberFormat="1" applyFont="1" applyFill="1" applyBorder="1" applyAlignment="1" applyProtection="1">
      <alignment horizontal="right" vertical="center"/>
      <protection locked="0"/>
    </xf>
    <xf numFmtId="177" fontId="6" fillId="0" borderId="3" xfId="1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58" fontId="8" fillId="0" borderId="1" xfId="1" applyNumberFormat="1" applyFont="1" applyFill="1" applyBorder="1" applyAlignment="1" applyProtection="1">
      <alignment horizontal="right" vertical="center"/>
      <protection locked="0"/>
    </xf>
    <xf numFmtId="58" fontId="8" fillId="0" borderId="2" xfId="1" applyNumberFormat="1" applyFont="1" applyFill="1" applyBorder="1" applyAlignment="1" applyProtection="1">
      <alignment horizontal="right" vertical="center"/>
      <protection locked="0"/>
    </xf>
    <xf numFmtId="58" fontId="8" fillId="0" borderId="3" xfId="1" applyNumberFormat="1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78" fontId="9" fillId="2" borderId="13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8" fontId="2" fillId="2" borderId="14" xfId="1" applyNumberFormat="1" applyFont="1" applyFill="1" applyBorder="1" applyAlignment="1">
      <alignment horizontal="right" vertical="center"/>
    </xf>
    <xf numFmtId="0" fontId="7" fillId="2" borderId="14" xfId="0" applyFont="1" applyFill="1" applyBorder="1">
      <alignment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textRotation="255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/>
    </xf>
    <xf numFmtId="38" fontId="13" fillId="2" borderId="15" xfId="1" applyFont="1" applyFill="1" applyBorder="1" applyAlignment="1">
      <alignment horizontal="right"/>
    </xf>
    <xf numFmtId="38" fontId="7" fillId="2" borderId="15" xfId="1" applyFont="1" applyFill="1" applyBorder="1" applyAlignment="1">
      <alignment horizontal="right"/>
    </xf>
    <xf numFmtId="0" fontId="7" fillId="2" borderId="15" xfId="0" applyFont="1" applyFill="1" applyBorder="1" applyAlignment="1"/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top"/>
    </xf>
    <xf numFmtId="38" fontId="13" fillId="2" borderId="0" xfId="1" applyFont="1" applyFill="1" applyBorder="1" applyAlignment="1">
      <alignment vertical="top"/>
    </xf>
    <xf numFmtId="38" fontId="7" fillId="2" borderId="0" xfId="1" applyFont="1" applyFill="1" applyBorder="1" applyAlignment="1">
      <alignment vertical="top"/>
    </xf>
    <xf numFmtId="38" fontId="7" fillId="2" borderId="0" xfId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178" fontId="2" fillId="2" borderId="20" xfId="1" applyNumberFormat="1" applyFont="1" applyFill="1" applyBorder="1" applyAlignment="1">
      <alignment horizontal="right" vertical="center"/>
    </xf>
    <xf numFmtId="178" fontId="2" fillId="2" borderId="19" xfId="1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178" fontId="2" fillId="3" borderId="20" xfId="0" applyNumberFormat="1" applyFont="1" applyFill="1" applyBorder="1" applyAlignment="1">
      <alignment horizontal="right" vertical="center"/>
    </xf>
    <xf numFmtId="178" fontId="2" fillId="3" borderId="19" xfId="0" applyNumberFormat="1" applyFont="1" applyFill="1" applyBorder="1" applyAlignment="1">
      <alignment horizontal="right" vertical="center"/>
    </xf>
    <xf numFmtId="0" fontId="7" fillId="3" borderId="1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8" fontId="11" fillId="2" borderId="0" xfId="0" applyNumberFormat="1" applyFont="1" applyFill="1" applyAlignment="1">
      <alignment horizontal="right"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179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distributed" vertical="center"/>
    </xf>
    <xf numFmtId="0" fontId="2" fillId="2" borderId="33" xfId="0" applyFont="1" applyFill="1" applyBorder="1" applyAlignment="1">
      <alignment horizontal="distributed" vertical="center"/>
    </xf>
    <xf numFmtId="3" fontId="10" fillId="2" borderId="33" xfId="0" applyNumberFormat="1" applyFont="1" applyFill="1" applyBorder="1" applyAlignment="1">
      <alignment horizontal="right" vertical="center"/>
    </xf>
    <xf numFmtId="0" fontId="2" fillId="2" borderId="34" xfId="0" applyFont="1" applyFill="1" applyBorder="1">
      <alignment vertical="center"/>
    </xf>
    <xf numFmtId="0" fontId="2" fillId="2" borderId="35" xfId="0" applyFont="1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180" fontId="10" fillId="2" borderId="0" xfId="0" applyNumberFormat="1" applyFont="1" applyFill="1" applyAlignment="1">
      <alignment horizontal="right" vertical="center"/>
    </xf>
    <xf numFmtId="0" fontId="2" fillId="2" borderId="36" xfId="0" applyFont="1" applyFill="1" applyBorder="1" applyAlignment="1">
      <alignment horizontal="distributed" vertical="center"/>
    </xf>
    <xf numFmtId="180" fontId="10" fillId="2" borderId="36" xfId="0" applyNumberFormat="1" applyFont="1" applyFill="1" applyBorder="1" applyAlignment="1">
      <alignment horizontal="right" vertical="center"/>
    </xf>
    <xf numFmtId="0" fontId="2" fillId="2" borderId="37" xfId="0" applyFont="1" applyFill="1" applyBorder="1">
      <alignment vertical="center"/>
    </xf>
    <xf numFmtId="2" fontId="10" fillId="2" borderId="0" xfId="0" applyNumberFormat="1" applyFont="1" applyFill="1" applyAlignment="1">
      <alignment horizontal="right" vertical="center"/>
    </xf>
    <xf numFmtId="0" fontId="2" fillId="2" borderId="38" xfId="0" applyFont="1" applyFill="1" applyBorder="1">
      <alignment vertical="center"/>
    </xf>
    <xf numFmtId="0" fontId="2" fillId="2" borderId="39" xfId="0" applyFont="1" applyFill="1" applyBorder="1" applyAlignment="1">
      <alignment horizontal="distributed" vertical="center"/>
    </xf>
    <xf numFmtId="0" fontId="2" fillId="2" borderId="40" xfId="0" applyFont="1" applyFill="1" applyBorder="1" applyAlignment="1">
      <alignment horizontal="distributed" vertical="center"/>
    </xf>
    <xf numFmtId="14" fontId="10" fillId="2" borderId="40" xfId="0" applyNumberFormat="1" applyFont="1" applyFill="1" applyBorder="1" applyAlignment="1">
      <alignment horizontal="center" vertical="center"/>
    </xf>
    <xf numFmtId="14" fontId="10" fillId="2" borderId="41" xfId="0" applyNumberFormat="1" applyFont="1" applyFill="1" applyBorder="1" applyAlignment="1">
      <alignment horizontal="center" vertical="center"/>
    </xf>
    <xf numFmtId="58" fontId="11" fillId="2" borderId="3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33" xfId="0" applyFont="1" applyFill="1" applyBorder="1" applyAlignment="1">
      <alignment horizontal="right" vertical="center"/>
    </xf>
    <xf numFmtId="0" fontId="2" fillId="2" borderId="33" xfId="0" applyFont="1" applyFill="1" applyBorder="1">
      <alignment vertical="center"/>
    </xf>
    <xf numFmtId="0" fontId="14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horizontal="right" vertical="center"/>
    </xf>
    <xf numFmtId="58" fontId="11" fillId="2" borderId="0" xfId="0" applyNumberFormat="1" applyFont="1" applyFill="1" applyAlignment="1">
      <alignment horizontal="center" vertical="center"/>
    </xf>
    <xf numFmtId="58" fontId="11" fillId="2" borderId="3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17</xdr:row>
      <xdr:rowOff>0</xdr:rowOff>
    </xdr:from>
    <xdr:to>
      <xdr:col>25</xdr:col>
      <xdr:colOff>161925</xdr:colOff>
      <xdr:row>19</xdr:row>
      <xdr:rowOff>9525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F05EA77-4B46-4DD1-BC86-458F56863066}"/>
            </a:ext>
          </a:extLst>
        </xdr:cNvPr>
        <xdr:cNvSpPr/>
      </xdr:nvSpPr>
      <xdr:spPr>
        <a:xfrm>
          <a:off x="8382000" y="5200650"/>
          <a:ext cx="114300" cy="6000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2117</xdr:colOff>
      <xdr:row>4</xdr:row>
      <xdr:rowOff>158750</xdr:rowOff>
    </xdr:from>
    <xdr:to>
      <xdr:col>21</xdr:col>
      <xdr:colOff>275168</xdr:colOff>
      <xdr:row>5</xdr:row>
      <xdr:rowOff>256117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0316FA7-80D7-47DE-9BD8-2B085452C981}"/>
            </a:ext>
          </a:extLst>
        </xdr:cNvPr>
        <xdr:cNvSpPr/>
      </xdr:nvSpPr>
      <xdr:spPr>
        <a:xfrm>
          <a:off x="5336117" y="1616075"/>
          <a:ext cx="1939926" cy="392642"/>
        </a:xfrm>
        <a:prstGeom prst="roundRect">
          <a:avLst/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入力してください。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145677</xdr:colOff>
      <xdr:row>7</xdr:row>
      <xdr:rowOff>33617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90F94284-CD6C-4BFC-A42E-BECA2D5EA304}"/>
            </a:ext>
          </a:extLst>
        </xdr:cNvPr>
        <xdr:cNvSpPr/>
      </xdr:nvSpPr>
      <xdr:spPr>
        <a:xfrm>
          <a:off x="5000625" y="1457325"/>
          <a:ext cx="145677" cy="919442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AF388-2502-4524-A88A-C2338649938B}">
  <sheetPr>
    <pageSetUpPr fitToPage="1"/>
  </sheetPr>
  <dimension ref="A1:BN25"/>
  <sheetViews>
    <sheetView showGridLines="0" showRowColHeaders="0" tabSelected="1" zoomScale="85" zoomScaleNormal="85" zoomScaleSheetLayoutView="90" workbookViewId="0">
      <selection activeCell="K5" sqref="K5:N5"/>
    </sheetView>
  </sheetViews>
  <sheetFormatPr defaultColWidth="4.375" defaultRowHeight="23.25" customHeight="1" x14ac:dyDescent="0.4"/>
  <cols>
    <col min="1" max="12" width="4.375" style="1"/>
    <col min="13" max="13" width="4.375" style="1" customWidth="1"/>
    <col min="14" max="16" width="4.375" style="1"/>
    <col min="17" max="18" width="4.375" style="1" customWidth="1"/>
    <col min="19" max="35" width="4.375" style="1"/>
    <col min="36" max="36" width="4.375" style="1" customWidth="1"/>
    <col min="37" max="38" width="4.375" style="1"/>
    <col min="39" max="40" width="4.5" style="1" customWidth="1"/>
    <col min="41" max="46" width="4.375" style="1"/>
    <col min="47" max="66" width="4.375" style="1" hidden="1" customWidth="1"/>
    <col min="67" max="16384" width="4.375" style="1"/>
  </cols>
  <sheetData>
    <row r="1" spans="1:51" ht="23.25" customHeight="1" x14ac:dyDescent="0.4">
      <c r="A1" s="1" t="s">
        <v>0</v>
      </c>
    </row>
    <row r="2" spans="1:51" ht="45" customHeight="1" x14ac:dyDescent="0.4">
      <c r="B2" s="2" t="s">
        <v>1</v>
      </c>
    </row>
    <row r="3" spans="1:51" ht="23.25" customHeight="1" x14ac:dyDescent="0.4">
      <c r="U3" s="3"/>
    </row>
    <row r="4" spans="1:51" ht="23.25" customHeight="1" thickBot="1" x14ac:dyDescent="0.45">
      <c r="AU4" s="1" t="s">
        <v>2</v>
      </c>
    </row>
    <row r="5" spans="1:51" ht="23.25" customHeight="1" thickTop="1" thickBot="1" x14ac:dyDescent="0.45">
      <c r="B5" s="1" t="s">
        <v>3</v>
      </c>
      <c r="K5" s="4">
        <v>65</v>
      </c>
      <c r="L5" s="5"/>
      <c r="M5" s="5"/>
      <c r="N5" s="6"/>
      <c r="O5" s="7" t="s">
        <v>4</v>
      </c>
      <c r="AU5" s="8">
        <v>0</v>
      </c>
      <c r="AV5" s="9">
        <v>0</v>
      </c>
      <c r="AW5" s="9"/>
      <c r="AX5" s="9"/>
      <c r="AY5" s="10"/>
    </row>
    <row r="6" spans="1:51" ht="23.25" customHeight="1" thickTop="1" thickBot="1" x14ac:dyDescent="0.45">
      <c r="B6" s="1" t="s">
        <v>5</v>
      </c>
      <c r="K6" s="11">
        <v>380000</v>
      </c>
      <c r="L6" s="12"/>
      <c r="M6" s="12"/>
      <c r="N6" s="13"/>
      <c r="O6" s="7" t="s">
        <v>6</v>
      </c>
      <c r="AU6" s="14">
        <v>1</v>
      </c>
      <c r="AV6" s="15">
        <v>0.99673690000000004</v>
      </c>
      <c r="AW6" s="15"/>
      <c r="AX6" s="15"/>
      <c r="AY6" s="16"/>
    </row>
    <row r="7" spans="1:51" ht="23.25" customHeight="1" thickTop="1" thickBot="1" x14ac:dyDescent="0.45">
      <c r="B7" s="1" t="s">
        <v>7</v>
      </c>
      <c r="K7" s="17">
        <v>46112</v>
      </c>
      <c r="L7" s="18"/>
      <c r="M7" s="18"/>
      <c r="N7" s="19"/>
      <c r="AU7" s="20">
        <v>2</v>
      </c>
      <c r="AV7" s="21">
        <v>1.9902215000000001</v>
      </c>
      <c r="AW7" s="21"/>
      <c r="AX7" s="21"/>
      <c r="AY7" s="22"/>
    </row>
    <row r="8" spans="1:51" ht="23.25" customHeight="1" thickTop="1" thickBot="1" x14ac:dyDescent="0.45">
      <c r="B8" s="1" t="s">
        <v>8</v>
      </c>
      <c r="H8" s="23"/>
      <c r="I8" s="23"/>
      <c r="J8" s="23"/>
      <c r="K8" s="24">
        <f>IF((K5&gt;74),"加入不可",IF(K6&gt;BA19,BA19,K6))</f>
        <v>380000</v>
      </c>
      <c r="L8" s="24"/>
      <c r="M8" s="24"/>
      <c r="N8" s="24"/>
      <c r="O8" s="7" t="s">
        <v>6</v>
      </c>
      <c r="Q8" s="25" t="str">
        <f>IF(K8="加入不可","【後期高齢者医療制度へ加入となります】","")</f>
        <v/>
      </c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U8" s="20">
        <v>3</v>
      </c>
      <c r="AV8" s="21">
        <v>2.9804642000000001</v>
      </c>
      <c r="AW8" s="21"/>
      <c r="AX8" s="21"/>
      <c r="AY8" s="22"/>
    </row>
    <row r="9" spans="1:51" ht="23.25" customHeight="1" thickTop="1" x14ac:dyDescent="0.4">
      <c r="B9" s="26" t="s">
        <v>9</v>
      </c>
      <c r="H9" s="23"/>
      <c r="I9" s="23"/>
      <c r="J9" s="23"/>
      <c r="AU9" s="20">
        <v>4</v>
      </c>
      <c r="AV9" s="21">
        <v>3.9674757</v>
      </c>
      <c r="AW9" s="21"/>
      <c r="AX9" s="21"/>
      <c r="AY9" s="22"/>
    </row>
    <row r="10" spans="1:51" ht="23.25" customHeight="1" x14ac:dyDescent="0.4">
      <c r="H10" s="23"/>
      <c r="I10" s="23"/>
      <c r="J10" s="23"/>
      <c r="K10" s="27" t="s">
        <v>10</v>
      </c>
      <c r="L10" s="27"/>
      <c r="M10" s="27"/>
      <c r="N10" s="27"/>
      <c r="O10" s="27"/>
      <c r="P10" s="27" t="s">
        <v>11</v>
      </c>
      <c r="Q10" s="27"/>
      <c r="R10" s="27"/>
      <c r="S10" s="27"/>
      <c r="T10" s="27"/>
      <c r="U10" s="27" t="s">
        <v>12</v>
      </c>
      <c r="V10" s="27"/>
      <c r="W10" s="27"/>
      <c r="X10" s="27"/>
      <c r="Y10" s="27"/>
      <c r="AU10" s="20">
        <v>5</v>
      </c>
      <c r="AV10" s="21">
        <v>4.9512666000000003</v>
      </c>
      <c r="AW10" s="21"/>
      <c r="AX10" s="21"/>
      <c r="AY10" s="22"/>
    </row>
    <row r="11" spans="1:51" ht="23.25" customHeight="1" x14ac:dyDescent="0.4">
      <c r="B11" s="1" t="s">
        <v>13</v>
      </c>
      <c r="D11" s="28"/>
      <c r="K11" s="29">
        <f>M12+N13</f>
        <v>40259</v>
      </c>
      <c r="L11" s="29"/>
      <c r="M11" s="29"/>
      <c r="N11" s="29"/>
      <c r="O11" s="30" t="s">
        <v>6</v>
      </c>
      <c r="P11" s="29" t="str">
        <f>IF(OR(K5&lt;40,K5&gt;64),"0",ROUNDDOWN((K8*BA21)/1000,0))</f>
        <v>0</v>
      </c>
      <c r="Q11" s="29"/>
      <c r="R11" s="29"/>
      <c r="S11" s="29"/>
      <c r="T11" s="30" t="s">
        <v>6</v>
      </c>
      <c r="U11" s="31">
        <f>K11+P11</f>
        <v>40259</v>
      </c>
      <c r="V11" s="31"/>
      <c r="W11" s="31"/>
      <c r="X11" s="31"/>
      <c r="Y11" s="30" t="s">
        <v>6</v>
      </c>
      <c r="AU11" s="20">
        <v>6</v>
      </c>
      <c r="AV11" s="21">
        <v>5.9318472</v>
      </c>
      <c r="AW11" s="21"/>
      <c r="AX11" s="21"/>
      <c r="AY11" s="22"/>
    </row>
    <row r="12" spans="1:51" ht="20.100000000000001" customHeight="1" x14ac:dyDescent="0.15">
      <c r="B12" s="32"/>
      <c r="D12" s="28"/>
      <c r="I12" s="33" t="s">
        <v>14</v>
      </c>
      <c r="J12" s="34" t="s">
        <v>15</v>
      </c>
      <c r="K12" s="35" t="s">
        <v>16</v>
      </c>
      <c r="L12" s="35"/>
      <c r="M12" s="36">
        <f>IF(K5&gt;74,"0",ROUNDDOWN((K8*BA20)/1000,0))</f>
        <v>39385</v>
      </c>
      <c r="N12" s="36"/>
      <c r="O12" s="37" t="s">
        <v>6</v>
      </c>
      <c r="P12" s="38" t="s">
        <v>17</v>
      </c>
      <c r="AU12" s="20">
        <v>7</v>
      </c>
      <c r="AV12" s="21">
        <v>6.9092282000000003</v>
      </c>
      <c r="AW12" s="21"/>
      <c r="AX12" s="21"/>
      <c r="AY12" s="22"/>
    </row>
    <row r="13" spans="1:51" ht="20.100000000000001" customHeight="1" x14ac:dyDescent="0.4">
      <c r="B13" s="32"/>
      <c r="D13" s="28"/>
      <c r="I13" s="33"/>
      <c r="J13" s="39" t="s">
        <v>18</v>
      </c>
      <c r="K13" s="40" t="s">
        <v>19</v>
      </c>
      <c r="L13" s="41"/>
      <c r="M13" s="41"/>
      <c r="N13" s="42">
        <f>IF(M12=0,"0",ROUNDDOWN(K8*BK20/1000,0))</f>
        <v>874</v>
      </c>
      <c r="O13" s="43" t="s">
        <v>6</v>
      </c>
      <c r="P13" s="38"/>
      <c r="AU13" s="20">
        <v>8</v>
      </c>
      <c r="AV13" s="21">
        <v>7.8834200000000001</v>
      </c>
      <c r="AW13" s="21"/>
      <c r="AX13" s="21"/>
      <c r="AY13" s="22"/>
    </row>
    <row r="14" spans="1:51" ht="23.25" customHeight="1" x14ac:dyDescent="0.4">
      <c r="B14" s="1" t="s">
        <v>20</v>
      </c>
      <c r="AU14" s="20">
        <v>9</v>
      </c>
      <c r="AV14" s="21">
        <v>8.8544329000000008</v>
      </c>
      <c r="AW14" s="21"/>
      <c r="AX14" s="21"/>
      <c r="AY14" s="22"/>
    </row>
    <row r="15" spans="1:51" ht="23.25" customHeight="1" x14ac:dyDescent="0.4">
      <c r="A15" s="44"/>
      <c r="B15" s="45"/>
      <c r="C15" s="45"/>
      <c r="D15" s="45"/>
      <c r="E15" s="45"/>
      <c r="F15" s="45"/>
      <c r="G15" s="45"/>
      <c r="H15" s="45"/>
      <c r="I15" s="45"/>
      <c r="J15" s="46"/>
      <c r="K15" s="47" t="s">
        <v>10</v>
      </c>
      <c r="L15" s="45"/>
      <c r="M15" s="45"/>
      <c r="N15" s="45"/>
      <c r="O15" s="46"/>
      <c r="P15" s="48" t="s">
        <v>11</v>
      </c>
      <c r="Q15" s="48"/>
      <c r="R15" s="48"/>
      <c r="S15" s="48"/>
      <c r="T15" s="48"/>
      <c r="U15" s="48" t="s">
        <v>12</v>
      </c>
      <c r="V15" s="48"/>
      <c r="W15" s="48"/>
      <c r="X15" s="48"/>
      <c r="Y15" s="48"/>
      <c r="AU15" s="20">
        <v>10</v>
      </c>
      <c r="AV15" s="21">
        <v>9.8222772999999997</v>
      </c>
      <c r="AW15" s="21"/>
      <c r="AX15" s="21"/>
      <c r="AY15" s="22"/>
    </row>
    <row r="16" spans="1:51" ht="23.25" customHeight="1" x14ac:dyDescent="0.4">
      <c r="B16" s="49" t="s">
        <v>21</v>
      </c>
      <c r="C16" s="50" t="s">
        <v>22</v>
      </c>
      <c r="D16" s="51"/>
      <c r="E16" s="51"/>
      <c r="F16" s="51"/>
      <c r="G16" s="51"/>
      <c r="H16" s="51"/>
      <c r="I16" s="51"/>
      <c r="J16" s="52"/>
      <c r="K16" s="53">
        <f>IF(MONTH(BE22)=2,(K11*(BA23+1))*2,K11*(BA23+1))</f>
        <v>483108</v>
      </c>
      <c r="L16" s="53"/>
      <c r="M16" s="53"/>
      <c r="N16" s="54"/>
      <c r="O16" s="55" t="s">
        <v>6</v>
      </c>
      <c r="P16" s="53">
        <f>IF(MONTH(BE22)=2,(P11*(BA23+1))*2,P11*(BA23+1))</f>
        <v>0</v>
      </c>
      <c r="Q16" s="53"/>
      <c r="R16" s="54"/>
      <c r="S16" s="54"/>
      <c r="T16" s="55" t="s">
        <v>6</v>
      </c>
      <c r="U16" s="56">
        <f>K16+P16</f>
        <v>483108</v>
      </c>
      <c r="V16" s="56"/>
      <c r="W16" s="56"/>
      <c r="X16" s="57"/>
      <c r="Y16" s="58" t="s">
        <v>6</v>
      </c>
      <c r="AU16" s="20">
        <v>11</v>
      </c>
      <c r="AV16" s="21">
        <v>10.7869636</v>
      </c>
      <c r="AW16" s="21"/>
      <c r="AX16" s="21"/>
      <c r="AY16" s="22"/>
    </row>
    <row r="17" spans="2:66" ht="23.25" customHeight="1" thickBot="1" x14ac:dyDescent="0.45">
      <c r="B17" s="49" t="s">
        <v>21</v>
      </c>
      <c r="C17" s="50" t="s">
        <v>23</v>
      </c>
      <c r="D17" s="51"/>
      <c r="F17" s="51" t="s">
        <v>24</v>
      </c>
      <c r="G17" s="51"/>
      <c r="H17" s="51"/>
      <c r="I17" s="51"/>
      <c r="J17" s="52"/>
      <c r="K17" s="53">
        <f>IF(MONTH(BE22)=2,(ROUND((M12*VLOOKUP(BA23,AU5:AY17,2,FALSE))+M12,0))*2+(ROUND((N13*VLOOKUP(BA23,AU5:AY17,2,FALSE))+N13,0))*2,ROUND((M12*VLOOKUP(BA23,AU5:AY17,2,FALSE))+M12,0)+ROUND((N13*VLOOKUP(BA23,AU5:AY17,2,FALSE))+N13,0))</f>
        <v>474532</v>
      </c>
      <c r="L17" s="53"/>
      <c r="M17" s="53"/>
      <c r="N17" s="54"/>
      <c r="O17" s="55" t="s">
        <v>6</v>
      </c>
      <c r="P17" s="53">
        <f>IF(MONTH(BE22)=2,(ROUND((P11*VLOOKUP(BA23,AU5:AY17,2,FALSE))+P11,0))*2,ROUND((P11*VLOOKUP(BA23,AU5:AY17,2,FALSE))+P11,0))</f>
        <v>0</v>
      </c>
      <c r="Q17" s="53"/>
      <c r="R17" s="54"/>
      <c r="S17" s="54"/>
      <c r="T17" s="55" t="s">
        <v>6</v>
      </c>
      <c r="U17" s="56">
        <f>K17+P17</f>
        <v>474532</v>
      </c>
      <c r="V17" s="56"/>
      <c r="W17" s="56"/>
      <c r="X17" s="57"/>
      <c r="Y17" s="58" t="s">
        <v>6</v>
      </c>
      <c r="AE17" s="59" t="s">
        <v>25</v>
      </c>
      <c r="AF17" s="7" t="s">
        <v>26</v>
      </c>
      <c r="AI17" s="60">
        <f>U16-U17</f>
        <v>8576</v>
      </c>
      <c r="AJ17" s="60"/>
      <c r="AK17" s="7" t="s">
        <v>27</v>
      </c>
      <c r="AU17" s="61">
        <v>12</v>
      </c>
      <c r="AV17" s="62">
        <v>11.748502</v>
      </c>
      <c r="AW17" s="62"/>
      <c r="AX17" s="62"/>
      <c r="AY17" s="63"/>
    </row>
    <row r="18" spans="2:66" ht="23.25" customHeight="1" thickBot="1" x14ac:dyDescent="0.45">
      <c r="B18" s="64" t="s">
        <v>21</v>
      </c>
      <c r="C18" s="65" t="s">
        <v>28</v>
      </c>
      <c r="D18" s="66"/>
      <c r="E18" s="67"/>
      <c r="F18" s="68" t="s">
        <v>29</v>
      </c>
      <c r="G18" s="68"/>
      <c r="H18" s="68"/>
      <c r="I18" s="68"/>
      <c r="J18" s="68"/>
      <c r="K18" s="53">
        <f>IFERROR(IF(BA24=1,M12*2+N13*2,ROUND((M12*VLOOKUP(BA24,AU5:AY17,2,FALSE))+M12,0)+ROUND((N13*VLOOKUP(BA24,AU5:AY17,2,FALSE))+N13,0)),0)</f>
        <v>239592</v>
      </c>
      <c r="L18" s="53"/>
      <c r="M18" s="53"/>
      <c r="N18" s="54"/>
      <c r="O18" s="55" t="s">
        <v>6</v>
      </c>
      <c r="P18" s="53">
        <f>IFERROR(IF(BA24=1,P11*2,ROUND((P11*VLOOKUP(BA24,AU5:AY17,2,FALSE))+P11,0)),0)</f>
        <v>0</v>
      </c>
      <c r="Q18" s="53"/>
      <c r="R18" s="54"/>
      <c r="S18" s="54"/>
      <c r="T18" s="55" t="s">
        <v>6</v>
      </c>
      <c r="U18" s="56">
        <f>K18+P18</f>
        <v>239592</v>
      </c>
      <c r="V18" s="56"/>
      <c r="W18" s="56"/>
      <c r="X18" s="57"/>
      <c r="Y18" s="58" t="s">
        <v>6</v>
      </c>
      <c r="AA18" s="69">
        <f>U18+U19</f>
        <v>478402</v>
      </c>
      <c r="AB18" s="69"/>
      <c r="AC18" s="69"/>
      <c r="AD18" s="69"/>
      <c r="AE18" s="70" t="s">
        <v>25</v>
      </c>
      <c r="AF18" s="70" t="s">
        <v>26</v>
      </c>
      <c r="AG18" s="70"/>
      <c r="AH18" s="70"/>
      <c r="AI18" s="60">
        <f>U16-AA18</f>
        <v>4706</v>
      </c>
      <c r="AJ18" s="60"/>
      <c r="AK18" s="70" t="s">
        <v>27</v>
      </c>
      <c r="AL18" s="70"/>
      <c r="AM18" s="70"/>
      <c r="AN18" s="70"/>
    </row>
    <row r="19" spans="2:66" ht="23.25" customHeight="1" thickBot="1" x14ac:dyDescent="0.45">
      <c r="B19" s="71"/>
      <c r="C19" s="72"/>
      <c r="D19" s="73"/>
      <c r="E19" s="74"/>
      <c r="F19" s="68" t="s">
        <v>30</v>
      </c>
      <c r="G19" s="68"/>
      <c r="H19" s="68"/>
      <c r="I19" s="68"/>
      <c r="J19" s="68"/>
      <c r="K19" s="53">
        <f>IF(BA25=6,ROUND(M12*AV11,0)+ROUND(N13*AV11,0),IF(MONTH(BE22)=2,(ROUND(M12*VLOOKUP(BA25,AU5:AY17,2,FALSE)+M12,0))*2+(ROUND(N13*VLOOKUP(BA25,AU5:AY17,2,FALSE)+N13,0))*2,ROUND(M12*VLOOKUP(BA25,AU5:AY17,2,FALSE)+M12,0)+ROUND(N13*VLOOKUP(BA25,AU5:AY17,2,FALSE)+N13,0)))</f>
        <v>238810</v>
      </c>
      <c r="L19" s="53"/>
      <c r="M19" s="53"/>
      <c r="N19" s="54"/>
      <c r="O19" s="55" t="s">
        <v>6</v>
      </c>
      <c r="P19" s="53">
        <f>IF(BA25=6,ROUND(P11*AV11,0),IF(MONTH(BE22)=2,(ROUND(P11*VLOOKUP(BA25,AU5:AY17,2,FALSE)+P11,0))*2,ROUND(P11*VLOOKUP(BA25,AU5:AY17,2,FALSE)+P11,0)))</f>
        <v>0</v>
      </c>
      <c r="Q19" s="53"/>
      <c r="R19" s="54"/>
      <c r="S19" s="54"/>
      <c r="T19" s="55" t="s">
        <v>6</v>
      </c>
      <c r="U19" s="56">
        <f>K19+P19</f>
        <v>238810</v>
      </c>
      <c r="V19" s="56"/>
      <c r="W19" s="56"/>
      <c r="X19" s="57"/>
      <c r="Y19" s="58" t="s">
        <v>6</v>
      </c>
      <c r="AA19" s="69"/>
      <c r="AB19" s="69"/>
      <c r="AC19" s="69"/>
      <c r="AD19" s="69"/>
      <c r="AE19" s="70"/>
      <c r="AF19" s="70"/>
      <c r="AG19" s="70"/>
      <c r="AH19" s="70"/>
      <c r="AI19" s="60"/>
      <c r="AJ19" s="60"/>
      <c r="AK19" s="70"/>
      <c r="AL19" s="70"/>
      <c r="AM19" s="70"/>
      <c r="AN19" s="70"/>
      <c r="AU19" s="75" t="s">
        <v>31</v>
      </c>
      <c r="AV19" s="76"/>
      <c r="AW19" s="76"/>
      <c r="AX19" s="76"/>
      <c r="AY19" s="76"/>
      <c r="AZ19" s="76"/>
      <c r="BA19" s="77">
        <v>380000</v>
      </c>
      <c r="BB19" s="77"/>
      <c r="BC19" s="77"/>
      <c r="BD19" s="78" t="s">
        <v>6</v>
      </c>
    </row>
    <row r="20" spans="2:66" ht="13.5" customHeight="1" thickBot="1" x14ac:dyDescent="0.45">
      <c r="AU20" s="79" t="s">
        <v>32</v>
      </c>
      <c r="AV20" s="80"/>
      <c r="AW20" s="80"/>
      <c r="AX20" s="80"/>
      <c r="AY20" s="80"/>
      <c r="AZ20" s="80"/>
      <c r="BA20" s="81">
        <v>103.645</v>
      </c>
      <c r="BB20" s="81"/>
      <c r="BC20" s="81"/>
      <c r="BD20" s="1" t="s">
        <v>33</v>
      </c>
      <c r="BE20" s="82" t="s">
        <v>34</v>
      </c>
      <c r="BF20" s="82"/>
      <c r="BG20" s="82"/>
      <c r="BH20" s="82"/>
      <c r="BI20" s="82"/>
      <c r="BJ20" s="82"/>
      <c r="BK20" s="83">
        <v>2.2999999999999998</v>
      </c>
      <c r="BL20" s="83"/>
      <c r="BM20" s="83"/>
      <c r="BN20" s="84" t="s">
        <v>33</v>
      </c>
    </row>
    <row r="21" spans="2:66" ht="23.25" customHeight="1" x14ac:dyDescent="0.4">
      <c r="B21" s="26" t="s">
        <v>25</v>
      </c>
      <c r="C21" s="26" t="s">
        <v>35</v>
      </c>
      <c r="AU21" s="79" t="s">
        <v>36</v>
      </c>
      <c r="AV21" s="80"/>
      <c r="AW21" s="80"/>
      <c r="AX21" s="80"/>
      <c r="AY21" s="80"/>
      <c r="AZ21" s="80"/>
      <c r="BA21" s="85">
        <v>15.7</v>
      </c>
      <c r="BB21" s="85"/>
      <c r="BC21" s="85"/>
      <c r="BD21" s="86" t="s">
        <v>33</v>
      </c>
    </row>
    <row r="22" spans="2:66" ht="23.25" customHeight="1" thickBot="1" x14ac:dyDescent="0.45">
      <c r="B22" s="26" t="s">
        <v>25</v>
      </c>
      <c r="C22" s="26" t="s">
        <v>37</v>
      </c>
      <c r="AU22" s="87" t="s">
        <v>38</v>
      </c>
      <c r="AV22" s="88"/>
      <c r="AW22" s="88"/>
      <c r="AX22" s="88"/>
      <c r="AY22" s="88"/>
      <c r="AZ22" s="88"/>
      <c r="BA22" s="89">
        <v>46477</v>
      </c>
      <c r="BB22" s="89"/>
      <c r="BC22" s="89"/>
      <c r="BD22" s="90"/>
      <c r="BE22" s="91">
        <f>K7+1</f>
        <v>46113</v>
      </c>
      <c r="BF22" s="92"/>
      <c r="BG22" s="92"/>
      <c r="BH22" s="92"/>
    </row>
    <row r="23" spans="2:66" ht="23.25" customHeight="1" x14ac:dyDescent="0.4">
      <c r="B23" s="26" t="s">
        <v>25</v>
      </c>
      <c r="C23" s="26" t="s">
        <v>39</v>
      </c>
      <c r="AU23" s="76" t="s">
        <v>40</v>
      </c>
      <c r="AV23" s="76"/>
      <c r="AW23" s="76"/>
      <c r="AX23" s="76"/>
      <c r="AY23" s="76"/>
      <c r="AZ23" s="76"/>
      <c r="BA23" s="93">
        <f>IF(BE23&lt;=1,0,BE23)</f>
        <v>11</v>
      </c>
      <c r="BB23" s="93"/>
      <c r="BC23" s="93"/>
      <c r="BD23" s="94" t="s">
        <v>41</v>
      </c>
      <c r="BE23" s="1">
        <f>DATEDIF(BE22,BA22,"m")</f>
        <v>11</v>
      </c>
    </row>
    <row r="24" spans="2:66" ht="23.25" customHeight="1" x14ac:dyDescent="0.4">
      <c r="B24" s="26" t="s">
        <v>25</v>
      </c>
      <c r="C24" s="26" t="s">
        <v>42</v>
      </c>
      <c r="AU24" s="95" t="s">
        <v>43</v>
      </c>
      <c r="AV24" s="95"/>
      <c r="AW24" s="95"/>
      <c r="AX24" s="95"/>
      <c r="AY24" s="95"/>
      <c r="AZ24" s="95"/>
      <c r="BA24" s="96">
        <f>DATEDIF(BE22,BE24,"m")</f>
        <v>5</v>
      </c>
      <c r="BB24" s="96"/>
      <c r="BC24" s="96"/>
      <c r="BD24" s="1" t="s">
        <v>41</v>
      </c>
      <c r="BE24" s="97">
        <f>EDATE(BA22,-6)</f>
        <v>46295</v>
      </c>
      <c r="BF24" s="97"/>
      <c r="BG24" s="97"/>
      <c r="BH24" s="98"/>
    </row>
    <row r="25" spans="2:66" ht="23.25" customHeight="1" x14ac:dyDescent="0.4">
      <c r="B25" s="26" t="s">
        <v>25</v>
      </c>
      <c r="C25" s="26" t="s">
        <v>44</v>
      </c>
      <c r="AU25" s="95" t="s">
        <v>45</v>
      </c>
      <c r="AV25" s="95"/>
      <c r="AW25" s="95"/>
      <c r="AX25" s="95"/>
      <c r="AY25" s="95"/>
      <c r="AZ25" s="95"/>
      <c r="BA25" s="96">
        <f>IF(BA23&gt;=6,6,BA23)</f>
        <v>6</v>
      </c>
      <c r="BB25" s="96"/>
      <c r="BC25" s="96"/>
      <c r="BD25" s="1" t="s">
        <v>41</v>
      </c>
    </row>
  </sheetData>
  <sheetProtection algorithmName="SHA-512" hashValue="resSDe08iWp0MQt45jF4d/eid6c2awwJUlsOm55qOkxxsuFM4LWFOYR/kTaLVTU+e2ZEW5FEEQAgZPAsvmseGA==" saltValue="GD22ZtYpX+6gKpbZKCtspA==" spinCount="100000" sheet="1" selectLockedCells="1"/>
  <mergeCells count="70">
    <mergeCell ref="AU24:AZ24"/>
    <mergeCell ref="BA24:BC24"/>
    <mergeCell ref="BE24:BH24"/>
    <mergeCell ref="AU25:AZ25"/>
    <mergeCell ref="BA25:BC25"/>
    <mergeCell ref="AU21:AZ21"/>
    <mergeCell ref="BA21:BC21"/>
    <mergeCell ref="AU22:AZ22"/>
    <mergeCell ref="BA22:BD22"/>
    <mergeCell ref="BE22:BH22"/>
    <mergeCell ref="AU23:AZ23"/>
    <mergeCell ref="BA23:BC23"/>
    <mergeCell ref="AU19:AZ19"/>
    <mergeCell ref="BA19:BC19"/>
    <mergeCell ref="AU20:AZ20"/>
    <mergeCell ref="BA20:BC20"/>
    <mergeCell ref="BE20:BJ20"/>
    <mergeCell ref="BK20:BM20"/>
    <mergeCell ref="AE18:AE19"/>
    <mergeCell ref="AF18:AH19"/>
    <mergeCell ref="AI18:AJ19"/>
    <mergeCell ref="AK18:AN19"/>
    <mergeCell ref="K19:N19"/>
    <mergeCell ref="P19:S19"/>
    <mergeCell ref="U19:X19"/>
    <mergeCell ref="B18:B19"/>
    <mergeCell ref="C18:E19"/>
    <mergeCell ref="K18:N18"/>
    <mergeCell ref="P18:S18"/>
    <mergeCell ref="U18:X18"/>
    <mergeCell ref="AA18:AD19"/>
    <mergeCell ref="K16:N16"/>
    <mergeCell ref="P16:S16"/>
    <mergeCell ref="U16:X16"/>
    <mergeCell ref="AV16:AY16"/>
    <mergeCell ref="K17:N17"/>
    <mergeCell ref="P17:S17"/>
    <mergeCell ref="U17:X17"/>
    <mergeCell ref="AI17:AJ17"/>
    <mergeCell ref="AV17:AY17"/>
    <mergeCell ref="AV14:AY14"/>
    <mergeCell ref="B15:J15"/>
    <mergeCell ref="K15:O15"/>
    <mergeCell ref="P15:T15"/>
    <mergeCell ref="U15:Y15"/>
    <mergeCell ref="AV15:AY15"/>
    <mergeCell ref="K11:N11"/>
    <mergeCell ref="P11:S11"/>
    <mergeCell ref="U11:X11"/>
    <mergeCell ref="AV11:AY11"/>
    <mergeCell ref="I12:I13"/>
    <mergeCell ref="K12:L12"/>
    <mergeCell ref="M12:N12"/>
    <mergeCell ref="P12:P13"/>
    <mergeCell ref="AV12:AY12"/>
    <mergeCell ref="AV13:AY13"/>
    <mergeCell ref="K8:N8"/>
    <mergeCell ref="Q8:AD8"/>
    <mergeCell ref="AV8:AY8"/>
    <mergeCell ref="AV9:AY9"/>
    <mergeCell ref="K10:O10"/>
    <mergeCell ref="P10:T10"/>
    <mergeCell ref="U10:Y10"/>
    <mergeCell ref="AV10:AY10"/>
    <mergeCell ref="K5:N5"/>
    <mergeCell ref="AV5:AY5"/>
    <mergeCell ref="K6:N6"/>
    <mergeCell ref="AV6:AY6"/>
    <mergeCell ref="K7:N7"/>
    <mergeCell ref="AV7:AY7"/>
  </mergeCells>
  <phoneticPr fontId="3"/>
  <dataValidations count="1">
    <dataValidation type="date" allowBlank="1" showInputMessage="1" showErrorMessage="1" sqref="K7:N7" xr:uid="{1735A355-55AF-4B04-85B3-EFFA59C3D0DD}">
      <formula1>46112</formula1>
      <formula2>46476</formula2>
    </dataValidation>
  </dataValidations>
  <pageMargins left="0" right="0" top="0" bottom="0" header="0" footer="0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1年目(R8)</vt:lpstr>
      <vt:lpstr>'1年目(R8)'!Print_Area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喜瀬 響</dc:creator>
  <cp:lastModifiedBy>喜瀬 響</cp:lastModifiedBy>
  <dcterms:created xsi:type="dcterms:W3CDTF">2026-02-25T03:51:02Z</dcterms:created>
  <dcterms:modified xsi:type="dcterms:W3CDTF">2026-02-25T03:52:15Z</dcterms:modified>
</cp:coreProperties>
</file>